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/>
  <bookViews>
    <workbookView xWindow="840" yWindow="1095" windowWidth="19335" windowHeight="6795"/>
  </bookViews>
  <sheets>
    <sheet name="Смета" sheetId="1" r:id="rId1"/>
  </sheets>
  <definedNames>
    <definedName name="_xlnm.Print_Titles" localSheetId="0">Смета!$1:$1</definedName>
  </definedNames>
  <calcPr calcId="124519"/>
</workbook>
</file>

<file path=xl/calcChain.xml><?xml version="1.0" encoding="utf-8"?>
<calcChain xmlns="http://schemas.openxmlformats.org/spreadsheetml/2006/main">
  <c r="M28" i="1"/>
  <c r="L28"/>
  <c r="K28"/>
  <c r="J28"/>
  <c r="I28"/>
  <c r="H28"/>
  <c r="N28" s="1"/>
  <c r="M25"/>
  <c r="L25"/>
  <c r="K25"/>
  <c r="J25"/>
  <c r="I25"/>
  <c r="H25"/>
  <c r="N25" s="1"/>
  <c r="M23"/>
  <c r="L23"/>
  <c r="K23"/>
  <c r="J23"/>
  <c r="I23"/>
  <c r="H23"/>
  <c r="N23" s="1"/>
  <c r="M22"/>
  <c r="L22"/>
  <c r="K22"/>
  <c r="J22"/>
  <c r="I22"/>
  <c r="H22"/>
  <c r="N22" s="1"/>
  <c r="M20"/>
  <c r="L20"/>
  <c r="K20"/>
  <c r="J20"/>
  <c r="N20" s="1"/>
  <c r="I20"/>
  <c r="H20"/>
  <c r="M17"/>
  <c r="L17"/>
  <c r="K17"/>
  <c r="J17"/>
  <c r="I17"/>
  <c r="H17"/>
  <c r="N17" s="1"/>
  <c r="M16"/>
  <c r="L16"/>
  <c r="K16"/>
  <c r="J16"/>
  <c r="I16"/>
  <c r="H16"/>
  <c r="N16" s="1"/>
  <c r="M13"/>
  <c r="L13"/>
  <c r="K13"/>
  <c r="J13"/>
  <c r="I13"/>
  <c r="H13"/>
  <c r="N13" s="1"/>
  <c r="M11"/>
  <c r="L11"/>
  <c r="K11"/>
  <c r="J11"/>
  <c r="N11" s="1"/>
  <c r="I11"/>
  <c r="H11"/>
  <c r="M9"/>
  <c r="L9"/>
  <c r="K9"/>
  <c r="J9"/>
  <c r="I9"/>
  <c r="H9"/>
  <c r="N9" s="1"/>
  <c r="M7"/>
  <c r="M29" s="1"/>
  <c r="L7"/>
  <c r="L29" s="1"/>
  <c r="K7"/>
  <c r="K29" s="1"/>
  <c r="J7"/>
  <c r="J29" s="1"/>
  <c r="I7"/>
  <c r="I29" s="1"/>
  <c r="H7"/>
  <c r="H29" s="1"/>
  <c r="N7" l="1"/>
  <c r="N29" s="1"/>
</calcChain>
</file>

<file path=xl/sharedStrings.xml><?xml version="1.0" encoding="utf-8"?>
<sst xmlns="http://schemas.openxmlformats.org/spreadsheetml/2006/main" count="81" uniqueCount="78">
  <si>
    <t/>
  </si>
  <si>
    <t>№ ПП</t>
  </si>
  <si>
    <t>КОД</t>
  </si>
  <si>
    <t>НАЗВАНИЕ РАБОТЫ</t>
  </si>
  <si>
    <t>ИЗМЕРИТЕЛЬ</t>
  </si>
  <si>
    <t>КОЛ-ВО ЕД. ИЗМ.</t>
  </si>
  <si>
    <t>ПЕРИОДИЧ- НОСТЬ В ГОД</t>
  </si>
  <si>
    <t>ТРУД. РЕСУРСЫ, РУБ.</t>
  </si>
  <si>
    <t>МАТЕР. РЕСУРСЫ, РУБ.</t>
  </si>
  <si>
    <t>МАШ. МЕХ., РУБ.</t>
  </si>
  <si>
    <t>НАКЛ. РАСХОДЫ, РУБ.</t>
  </si>
  <si>
    <t>ПРИБЫЛЬ, РУБ.</t>
  </si>
  <si>
    <t>РАСХОДЫ НА УПРАВ., РУБ.</t>
  </si>
  <si>
    <t>СТОИМОСТЬ, РУБ.</t>
  </si>
  <si>
    <t>Белкина 29</t>
  </si>
  <si>
    <t>Дата изменения:</t>
  </si>
  <si>
    <t>21.03.2022</t>
  </si>
  <si>
    <t>Общая площадь, кв.м:</t>
  </si>
  <si>
    <t>2.2</t>
  </si>
  <si>
    <t>Системы холодного и горячего водоснабжения</t>
  </si>
  <si>
    <t>2.2.1</t>
  </si>
  <si>
    <t>Ремонт,  замена  внутридомовых сетей водоснабжения</t>
  </si>
  <si>
    <t>2.2.1.1</t>
  </si>
  <si>
    <t>Смена отдельных участков трубопроводов  горячего водоснабжения из стальных водогазопроводных оцинкованных труб при соединении труб на резьбе</t>
  </si>
  <si>
    <t>2.2.1.1.4</t>
  </si>
  <si>
    <t>Смена отдельных участков трубопроводов водоснабжения из стальных водогазопроводных оцинкованных труб диаметром 32 мм</t>
  </si>
  <si>
    <t>100 м трубопроводов</t>
  </si>
  <si>
    <t>2.2.1.7</t>
  </si>
  <si>
    <t>Смена сгонов у трубопроводов</t>
  </si>
  <si>
    <t>2.2.1.7.2</t>
  </si>
  <si>
    <t>Смена сгонов у трубопроводов диаметром до 32 мм</t>
  </si>
  <si>
    <t>100 сгонов</t>
  </si>
  <si>
    <t>2.2.1.8</t>
  </si>
  <si>
    <t>Уплотнение сгонов</t>
  </si>
  <si>
    <t>2.2.1.8.2</t>
  </si>
  <si>
    <t>Уплотнение сгонов с применением льняной пряди или асбестового шнура (без разборки сгонов) диаметром до 32 мм</t>
  </si>
  <si>
    <t>1 сгон</t>
  </si>
  <si>
    <t>2.2.6</t>
  </si>
  <si>
    <t>Ремонт оборудования, приборов и арматуры водопроводной сети общего пользования</t>
  </si>
  <si>
    <t>2.2.6.4</t>
  </si>
  <si>
    <t>Смена задвижек диаметром до 50 мм</t>
  </si>
  <si>
    <t>100 шт.</t>
  </si>
  <si>
    <t>2.3</t>
  </si>
  <si>
    <t>Система водоотведения</t>
  </si>
  <si>
    <t>2.3.1</t>
  </si>
  <si>
    <t>Смена отдельных участков трубопроводов канализации из полиэтиленовых труб высокой плотности</t>
  </si>
  <si>
    <t>2.3.1.4</t>
  </si>
  <si>
    <t>Смена вертикальных участков трубопроводов канализации из полиэтиленовых труб высокой плотности диаметром 100 мм</t>
  </si>
  <si>
    <t>2.3.4</t>
  </si>
  <si>
    <t>Устранение засоров внутренних канализационных трубопроводов</t>
  </si>
  <si>
    <t>100 м трубы</t>
  </si>
  <si>
    <t>2.6</t>
  </si>
  <si>
    <t>Подготовка многоквартирного дома к сезонной эксплуатации, проведение технических осмотров</t>
  </si>
  <si>
    <t>2.6.14</t>
  </si>
  <si>
    <t>Проведение технических осмотров и устранение незначительных неисправностей в  системе   теплоснабжения</t>
  </si>
  <si>
    <t>2.6.14.2</t>
  </si>
  <si>
    <t>Регулировка и наладка систем отопления</t>
  </si>
  <si>
    <t>1 здание</t>
  </si>
  <si>
    <t>2.6.14.3</t>
  </si>
  <si>
    <t>Гидравлическое испытание трубопроводов систем центрального отопления (расконсервация)</t>
  </si>
  <si>
    <t>2.6.14.3.2</t>
  </si>
  <si>
    <t>Рабочая проверка системы в целом при диаметре трубопровода до 50 мм</t>
  </si>
  <si>
    <t>100 м трубопровода</t>
  </si>
  <si>
    <t>2.6.14.3.3</t>
  </si>
  <si>
    <t>Окончательная проверка при сдаче системы при диаметре трубопровода до 50 мм</t>
  </si>
  <si>
    <t>2.6.14.4</t>
  </si>
  <si>
    <t>Промывка трубопроводов системы центрального отопления</t>
  </si>
  <si>
    <t>2.6.14.4.1</t>
  </si>
  <si>
    <t>Промывка трубопроводов системы центрального отопления до 50 мм</t>
  </si>
  <si>
    <t>10 м трубопровода (100 м3 здания)</t>
  </si>
  <si>
    <t>2.6.14.5</t>
  </si>
  <si>
    <t>Устранение незначительных неисправностей в  системе   теплоснабжения</t>
  </si>
  <si>
    <t>2.6.14.5.5</t>
  </si>
  <si>
    <t>Ликвидация воздушных пробок в системе отопления</t>
  </si>
  <si>
    <t>2.6.14.5.5.1</t>
  </si>
  <si>
    <t>Ликвидация воздушных пробок в стояке системы отопления</t>
  </si>
  <si>
    <t>100 стояков</t>
  </si>
  <si>
    <t>ИТОГО:</t>
  </si>
</sst>
</file>

<file path=xl/styles.xml><?xml version="1.0" encoding="utf-8"?>
<styleSheet xmlns="http://schemas.openxmlformats.org/spreadsheetml/2006/main">
  <numFmts count="1">
    <numFmt numFmtId="164" formatCode="#\ ###\ ##0.00"/>
  </numFmts>
  <fonts count="11">
    <font>
      <sz val="11"/>
      <color theme="1"/>
      <name val="Calibri"/>
      <family val="2"/>
      <scheme val="minor"/>
    </font>
    <font>
      <sz val="9"/>
      <name val="Calibri"/>
    </font>
    <font>
      <sz val="10"/>
      <name val="Calibri"/>
    </font>
    <font>
      <sz val="12"/>
      <name val="Calibri"/>
    </font>
    <font>
      <b/>
      <sz val="9"/>
      <color rgb="FFFFFFFF"/>
      <name val="Calibri"/>
    </font>
    <font>
      <b/>
      <sz val="18"/>
      <color rgb="FF000099"/>
      <name val="Calibri"/>
    </font>
    <font>
      <i/>
      <sz val="11"/>
      <name val="Calibri"/>
    </font>
    <font>
      <b/>
      <sz val="11"/>
      <name val="Calibri"/>
    </font>
    <font>
      <b/>
      <sz val="10"/>
      <color rgb="FF707070"/>
      <name val="Calibri"/>
    </font>
    <font>
      <b/>
      <sz val="11"/>
      <color rgb="FFFFFFFF"/>
      <name val="Calibri"/>
    </font>
    <font>
      <b/>
      <sz val="10"/>
      <color rgb="FFFFFFFF"/>
      <name val="Calibri"/>
    </font>
  </fonts>
  <fills count="8">
    <fill>
      <patternFill patternType="none"/>
    </fill>
    <fill>
      <patternFill patternType="gray125"/>
    </fill>
    <fill>
      <patternFill patternType="solid">
        <fgColor rgb="FF546E7A"/>
      </patternFill>
    </fill>
    <fill>
      <patternFill patternType="solid">
        <fgColor rgb="FFDCE6F1"/>
      </patternFill>
    </fill>
    <fill>
      <patternFill patternType="solid">
        <fgColor rgb="FFF2F2F2"/>
      </patternFill>
    </fill>
    <fill>
      <patternFill patternType="solid">
        <fgColor rgb="FFF9F7ED"/>
      </patternFill>
    </fill>
    <fill>
      <patternFill patternType="solid">
        <fgColor rgb="FFF5F2E0"/>
      </patternFill>
    </fill>
    <fill>
      <patternFill patternType="solid">
        <fgColor rgb="FFEBF1DE"/>
      </patternFill>
    </fill>
  </fills>
  <borders count="12">
    <border>
      <left/>
      <right/>
      <top/>
      <bottom/>
      <diagonal/>
    </border>
    <border>
      <left style="thick">
        <color rgb="FF000000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center" vertical="top" wrapText="1" indent="1"/>
    </xf>
    <xf numFmtId="49" fontId="2" fillId="0" borderId="0" xfId="0" applyNumberFormat="1" applyFont="1" applyAlignment="1">
      <alignment horizontal="left" vertical="top" wrapText="1" inden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indent="1"/>
    </xf>
    <xf numFmtId="164" fontId="2" fillId="0" borderId="0" xfId="0" applyNumberFormat="1" applyFont="1" applyAlignment="1">
      <alignment horizontal="right" vertical="top" indent="1"/>
    </xf>
    <xf numFmtId="0" fontId="4" fillId="0" borderId="0" xfId="0" applyFont="1" applyAlignment="1">
      <alignment horizontal="center" vertical="center" wrapText="1" indent="1"/>
    </xf>
    <xf numFmtId="0" fontId="4" fillId="2" borderId="1" xfId="0" applyFont="1" applyFill="1" applyBorder="1" applyAlignment="1">
      <alignment horizontal="center" vertical="center" wrapText="1" indent="1"/>
    </xf>
    <xf numFmtId="49" fontId="4" fillId="2" borderId="2" xfId="0" applyNumberFormat="1" applyFont="1" applyFill="1" applyBorder="1" applyAlignment="1">
      <alignment horizontal="center" vertical="center" wrapText="1" indent="1"/>
    </xf>
    <xf numFmtId="0" fontId="4" fillId="2" borderId="2" xfId="0" applyFont="1" applyFill="1" applyBorder="1" applyAlignment="1">
      <alignment horizontal="center" vertical="center" wrapText="1" indent="1"/>
    </xf>
    <xf numFmtId="164" fontId="4" fillId="2" borderId="2" xfId="0" applyNumberFormat="1" applyFont="1" applyFill="1" applyBorder="1" applyAlignment="1">
      <alignment horizontal="center" vertical="center" wrapText="1" indent="1"/>
    </xf>
    <xf numFmtId="164" fontId="4" fillId="2" borderId="3" xfId="0" applyNumberFormat="1" applyFont="1" applyFill="1" applyBorder="1" applyAlignment="1">
      <alignment horizontal="center" vertical="center" wrapText="1" indent="1"/>
    </xf>
    <xf numFmtId="0" fontId="6" fillId="0" borderId="6" xfId="0" applyFont="1" applyBorder="1" applyAlignment="1">
      <alignment horizontal="left" indent="1"/>
    </xf>
    <xf numFmtId="164" fontId="6" fillId="0" borderId="8" xfId="0" applyNumberFormat="1" applyFont="1" applyBorder="1" applyAlignment="1">
      <alignment horizontal="left" indent="1"/>
    </xf>
    <xf numFmtId="0" fontId="7" fillId="0" borderId="0" xfId="0" applyFont="1"/>
    <xf numFmtId="0" fontId="7" fillId="3" borderId="9" xfId="0" applyFont="1" applyFill="1" applyBorder="1" applyAlignment="1">
      <alignment horizontal="center" vertical="top" wrapText="1" indent="1"/>
    </xf>
    <xf numFmtId="49" fontId="7" fillId="3" borderId="10" xfId="0" applyNumberFormat="1" applyFont="1" applyFill="1" applyBorder="1" applyAlignment="1">
      <alignment horizontal="left" vertical="top" wrapText="1" indent="1"/>
    </xf>
    <xf numFmtId="0" fontId="8" fillId="0" borderId="0" xfId="0" applyFont="1"/>
    <xf numFmtId="0" fontId="8" fillId="4" borderId="9" xfId="0" applyFont="1" applyFill="1" applyBorder="1" applyAlignment="1">
      <alignment horizontal="center" vertical="top" wrapText="1" indent="1"/>
    </xf>
    <xf numFmtId="49" fontId="8" fillId="4" borderId="10" xfId="0" applyNumberFormat="1" applyFont="1" applyFill="1" applyBorder="1" applyAlignment="1">
      <alignment horizontal="left" vertical="top" wrapText="1" indent="1"/>
    </xf>
    <xf numFmtId="0" fontId="1" fillId="0" borderId="9" xfId="0" applyFont="1" applyBorder="1" applyAlignment="1">
      <alignment horizontal="center" vertical="top" wrapText="1" indent="1"/>
    </xf>
    <xf numFmtId="49" fontId="2" fillId="0" borderId="10" xfId="0" applyNumberFormat="1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/>
    </xf>
    <xf numFmtId="0" fontId="3" fillId="5" borderId="10" xfId="0" applyFont="1" applyFill="1" applyBorder="1" applyAlignment="1">
      <alignment horizontal="right" vertical="top" indent="1"/>
    </xf>
    <xf numFmtId="0" fontId="3" fillId="6" borderId="10" xfId="0" applyFont="1" applyFill="1" applyBorder="1" applyAlignment="1">
      <alignment horizontal="right" vertical="top" indent="1"/>
    </xf>
    <xf numFmtId="164" fontId="2" fillId="0" borderId="10" xfId="0" applyNumberFormat="1" applyFont="1" applyBorder="1" applyAlignment="1">
      <alignment horizontal="right" vertical="top" indent="1"/>
    </xf>
    <xf numFmtId="164" fontId="2" fillId="7" borderId="11" xfId="0" applyNumberFormat="1" applyFont="1" applyFill="1" applyBorder="1" applyAlignment="1">
      <alignment horizontal="right" vertical="top" indent="1"/>
    </xf>
    <xf numFmtId="0" fontId="9" fillId="0" borderId="0" xfId="0" applyFont="1" applyAlignment="1">
      <alignment horizontal="right" vertical="center" wrapText="1" indent="1"/>
    </xf>
    <xf numFmtId="164" fontId="9" fillId="2" borderId="2" xfId="0" applyNumberFormat="1" applyFont="1" applyFill="1" applyBorder="1" applyAlignment="1">
      <alignment horizontal="right" vertical="center" wrapText="1" indent="1"/>
    </xf>
    <xf numFmtId="164" fontId="9" fillId="2" borderId="3" xfId="0" applyNumberFormat="1" applyFont="1" applyFill="1" applyBorder="1" applyAlignment="1">
      <alignment horizontal="right" vertical="center" wrapText="1" indent="1"/>
    </xf>
    <xf numFmtId="0" fontId="5" fillId="0" borderId="4" xfId="0" applyFont="1" applyBorder="1" applyAlignment="1">
      <alignment horizontal="left" vertical="center" indent="1"/>
    </xf>
    <xf numFmtId="164" fontId="6" fillId="0" borderId="5" xfId="0" applyNumberFormat="1" applyFont="1" applyBorder="1" applyAlignment="1">
      <alignment horizontal="right" indent="1"/>
    </xf>
    <xf numFmtId="164" fontId="6" fillId="0" borderId="7" xfId="0" applyNumberFormat="1" applyFont="1" applyBorder="1" applyAlignment="1">
      <alignment horizontal="right" indent="1"/>
    </xf>
    <xf numFmtId="0" fontId="7" fillId="3" borderId="11" xfId="0" applyFont="1" applyFill="1" applyBorder="1" applyAlignment="1">
      <alignment horizontal="left" vertical="top" wrapText="1"/>
    </xf>
    <xf numFmtId="0" fontId="8" fillId="4" borderId="11" xfId="0" applyFont="1" applyFill="1" applyBorder="1" applyAlignment="1">
      <alignment indent="1"/>
    </xf>
    <xf numFmtId="0" fontId="8" fillId="4" borderId="11" xfId="0" applyFont="1" applyFill="1" applyBorder="1" applyAlignment="1">
      <alignment indent="2"/>
    </xf>
    <xf numFmtId="0" fontId="8" fillId="4" borderId="11" xfId="0" applyFont="1" applyFill="1" applyBorder="1" applyAlignment="1">
      <alignment indent="3"/>
    </xf>
    <xf numFmtId="0" fontId="10" fillId="2" borderId="1" xfId="0" applyFont="1" applyFill="1" applyBorder="1" applyAlignment="1">
      <alignment horizontal="right" vertical="center" wrapText="1" inden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9"/>
  <sheetViews>
    <sheetView tabSelected="1" workbookViewId="0">
      <pane ySplit="1" topLeftCell="A2" activePane="bottomLeft" state="frozen"/>
      <selection pane="bottomLeft" activeCell="D6" sqref="D6:N6"/>
    </sheetView>
  </sheetViews>
  <sheetFormatPr defaultRowHeight="15.75"/>
  <cols>
    <col min="1" max="1" width="3" customWidth="1"/>
    <col min="2" max="2" width="6" style="1" customWidth="1"/>
    <col min="3" max="3" width="13" style="2" customWidth="1"/>
    <col min="4" max="4" width="50" style="3" customWidth="1"/>
    <col min="5" max="5" width="20" style="3" customWidth="1"/>
    <col min="6" max="7" width="12" style="4" customWidth="1"/>
    <col min="8" max="9" width="14" style="5" customWidth="1"/>
    <col min="10" max="10" width="13" style="5" customWidth="1"/>
    <col min="11" max="13" width="14" style="5" customWidth="1"/>
    <col min="14" max="14" width="16" style="5" customWidth="1"/>
  </cols>
  <sheetData>
    <row r="1" spans="1:14" s="6" customFormat="1" ht="39.950000000000003" customHeight="1">
      <c r="A1" s="6" t="s">
        <v>0</v>
      </c>
      <c r="B1" s="7" t="s">
        <v>1</v>
      </c>
      <c r="C1" s="8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1" t="s">
        <v>13</v>
      </c>
    </row>
    <row r="2" spans="1:14" ht="15">
      <c r="A2" t="s">
        <v>0</v>
      </c>
      <c r="B2" s="30" t="s">
        <v>14</v>
      </c>
      <c r="C2" s="30"/>
      <c r="D2" s="30"/>
      <c r="E2" s="30"/>
      <c r="F2" s="30"/>
      <c r="G2" s="30"/>
      <c r="H2" s="30"/>
      <c r="I2" s="30"/>
      <c r="J2" s="30"/>
      <c r="K2" s="30"/>
      <c r="L2" s="31" t="s">
        <v>15</v>
      </c>
      <c r="M2" s="31"/>
      <c r="N2" s="12" t="s">
        <v>16</v>
      </c>
    </row>
    <row r="3" spans="1:14" ht="15">
      <c r="B3" s="30"/>
      <c r="C3" s="30"/>
      <c r="D3" s="30"/>
      <c r="E3" s="30"/>
      <c r="F3" s="30"/>
      <c r="G3" s="30"/>
      <c r="H3" s="30"/>
      <c r="I3" s="30"/>
      <c r="J3" s="30"/>
      <c r="K3" s="30"/>
      <c r="L3" s="32" t="s">
        <v>17</v>
      </c>
      <c r="M3" s="32"/>
      <c r="N3" s="13">
        <v>0</v>
      </c>
    </row>
    <row r="4" spans="1:14" s="14" customFormat="1" ht="15">
      <c r="B4" s="15"/>
      <c r="C4" s="16" t="s">
        <v>18</v>
      </c>
      <c r="D4" s="33" t="s">
        <v>19</v>
      </c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14" s="17" customFormat="1" ht="12.75">
      <c r="B5" s="18"/>
      <c r="C5" s="19" t="s">
        <v>20</v>
      </c>
      <c r="D5" s="34" t="s">
        <v>21</v>
      </c>
      <c r="E5" s="34"/>
      <c r="F5" s="34"/>
      <c r="G5" s="34"/>
      <c r="H5" s="34"/>
      <c r="I5" s="34"/>
      <c r="J5" s="34"/>
      <c r="K5" s="34"/>
      <c r="L5" s="34"/>
      <c r="M5" s="34"/>
      <c r="N5" s="34"/>
    </row>
    <row r="6" spans="1:14" s="17" customFormat="1" ht="12.75">
      <c r="B6" s="18"/>
      <c r="C6" s="19" t="s">
        <v>22</v>
      </c>
      <c r="D6" s="35" t="s">
        <v>23</v>
      </c>
      <c r="E6" s="35"/>
      <c r="F6" s="35"/>
      <c r="G6" s="35"/>
      <c r="H6" s="35"/>
      <c r="I6" s="35"/>
      <c r="J6" s="35"/>
      <c r="K6" s="35"/>
      <c r="L6" s="35"/>
      <c r="M6" s="35"/>
      <c r="N6" s="35"/>
    </row>
    <row r="7" spans="1:14" ht="38.25">
      <c r="B7" s="20">
        <v>1</v>
      </c>
      <c r="C7" s="21" t="s">
        <v>24</v>
      </c>
      <c r="D7" s="22" t="s">
        <v>25</v>
      </c>
      <c r="E7" s="22" t="s">
        <v>26</v>
      </c>
      <c r="F7" s="23">
        <v>2.5000000000000001E-2</v>
      </c>
      <c r="G7" s="24">
        <v>1</v>
      </c>
      <c r="H7" s="25">
        <f>F7 * G7 * 28545.363</f>
        <v>713.63407500000005</v>
      </c>
      <c r="I7" s="25">
        <f>F7 * G7 * 32786.421852</f>
        <v>819.66054630000008</v>
      </c>
      <c r="J7" s="25">
        <f>F7 * G7 * 0</f>
        <v>0</v>
      </c>
      <c r="K7" s="25">
        <f>F7 * G7 * 27175.1855759999</f>
        <v>679.37963939999759</v>
      </c>
      <c r="L7" s="25">
        <f>F7 * G7 * 9939.792539</f>
        <v>248.494813475</v>
      </c>
      <c r="M7" s="25">
        <f>F7 * G7 * 5709.0726</f>
        <v>142.72681500000002</v>
      </c>
      <c r="N7" s="26">
        <f>SUM(H7:M7)</f>
        <v>2603.895889174998</v>
      </c>
    </row>
    <row r="8" spans="1:14" s="17" customFormat="1" ht="12.75">
      <c r="B8" s="18"/>
      <c r="C8" s="19" t="s">
        <v>27</v>
      </c>
      <c r="D8" s="35" t="s">
        <v>28</v>
      </c>
      <c r="E8" s="35"/>
      <c r="F8" s="35"/>
      <c r="G8" s="35"/>
      <c r="H8" s="35"/>
      <c r="I8" s="35"/>
      <c r="J8" s="35"/>
      <c r="K8" s="35"/>
      <c r="L8" s="35"/>
      <c r="M8" s="35"/>
      <c r="N8" s="35"/>
    </row>
    <row r="9" spans="1:14">
      <c r="B9" s="20">
        <v>2</v>
      </c>
      <c r="C9" s="21" t="s">
        <v>29</v>
      </c>
      <c r="D9" s="22" t="s">
        <v>30</v>
      </c>
      <c r="E9" s="22" t="s">
        <v>31</v>
      </c>
      <c r="F9" s="23">
        <v>0.03</v>
      </c>
      <c r="G9" s="24">
        <v>1</v>
      </c>
      <c r="H9" s="25">
        <f>F9 * G9 * 11354.8032</f>
        <v>340.64409599999999</v>
      </c>
      <c r="I9" s="25">
        <f>F9 * G9 * 10639.970407</f>
        <v>319.19911221000001</v>
      </c>
      <c r="J9" s="25">
        <f>F9 * G9 * 0</f>
        <v>0</v>
      </c>
      <c r="K9" s="25">
        <f>F9 * G9 * 10809.772646</f>
        <v>324.29317937999997</v>
      </c>
      <c r="L9" s="25">
        <f>F9 * G9 * 3700.465977</f>
        <v>111.01397931</v>
      </c>
      <c r="M9" s="25">
        <f>F9 * G9 * 2270.96064</f>
        <v>68.128819199999995</v>
      </c>
      <c r="N9" s="26">
        <f>SUM(H9:M9)</f>
        <v>1163.2791861000001</v>
      </c>
    </row>
    <row r="10" spans="1:14" s="17" customFormat="1" ht="12.75">
      <c r="B10" s="18"/>
      <c r="C10" s="19" t="s">
        <v>32</v>
      </c>
      <c r="D10" s="35" t="s">
        <v>33</v>
      </c>
      <c r="E10" s="35"/>
      <c r="F10" s="35"/>
      <c r="G10" s="35"/>
      <c r="H10" s="35"/>
      <c r="I10" s="35"/>
      <c r="J10" s="35"/>
      <c r="K10" s="35"/>
      <c r="L10" s="35"/>
      <c r="M10" s="35"/>
      <c r="N10" s="35"/>
    </row>
    <row r="11" spans="1:14" ht="38.25">
      <c r="B11" s="20">
        <v>3</v>
      </c>
      <c r="C11" s="21" t="s">
        <v>34</v>
      </c>
      <c r="D11" s="22" t="s">
        <v>35</v>
      </c>
      <c r="E11" s="22" t="s">
        <v>36</v>
      </c>
      <c r="F11" s="23">
        <v>3</v>
      </c>
      <c r="G11" s="24">
        <v>1</v>
      </c>
      <c r="H11" s="25">
        <f>F11 * G11 * 31.45272</f>
        <v>94.358159999999998</v>
      </c>
      <c r="I11" s="25">
        <f>F11 * G11 * 6.521409</f>
        <v>19.564227000000002</v>
      </c>
      <c r="J11" s="25">
        <f>F11 * G11 * 0</f>
        <v>0</v>
      </c>
      <c r="K11" s="25">
        <f>F11 * G11 * 29.942989</f>
        <v>89.828967000000006</v>
      </c>
      <c r="L11" s="25">
        <f>F11 * G11 * 7.828908</f>
        <v>23.486724000000002</v>
      </c>
      <c r="M11" s="25">
        <f>F11 * G11 * 6.290544</f>
        <v>18.871631999999998</v>
      </c>
      <c r="N11" s="26">
        <f>SUM(H11:M11)</f>
        <v>246.10971000000001</v>
      </c>
    </row>
    <row r="12" spans="1:14" s="17" customFormat="1" ht="12.75">
      <c r="B12" s="18"/>
      <c r="C12" s="19" t="s">
        <v>37</v>
      </c>
      <c r="D12" s="34" t="s">
        <v>38</v>
      </c>
      <c r="E12" s="34"/>
      <c r="F12" s="34"/>
      <c r="G12" s="34"/>
      <c r="H12" s="34"/>
      <c r="I12" s="34"/>
      <c r="J12" s="34"/>
      <c r="K12" s="34"/>
      <c r="L12" s="34"/>
      <c r="M12" s="34"/>
      <c r="N12" s="34"/>
    </row>
    <row r="13" spans="1:14">
      <c r="B13" s="20">
        <v>4</v>
      </c>
      <c r="C13" s="21" t="s">
        <v>39</v>
      </c>
      <c r="D13" s="22" t="s">
        <v>40</v>
      </c>
      <c r="E13" s="22" t="s">
        <v>41</v>
      </c>
      <c r="F13" s="23">
        <v>0.01</v>
      </c>
      <c r="G13" s="24">
        <v>1</v>
      </c>
      <c r="H13" s="25">
        <f>F13 * G13 * 79293.984</f>
        <v>792.93984</v>
      </c>
      <c r="I13" s="25">
        <f>F13 * G13 * 179535.094572</f>
        <v>1795.35094572</v>
      </c>
      <c r="J13" s="25">
        <f>F13 * G13 * 0</f>
        <v>0</v>
      </c>
      <c r="K13" s="25">
        <f>F13 * G13 * 75487.872768</f>
        <v>754.87872768</v>
      </c>
      <c r="L13" s="25">
        <f>F13 * G13 * 36943.541429</f>
        <v>369.43541428999998</v>
      </c>
      <c r="M13" s="25">
        <f>F13 * G13 * 15858.7968</f>
        <v>158.58796800000002</v>
      </c>
      <c r="N13" s="26">
        <f>SUM(H13:M13)</f>
        <v>3871.1928956899997</v>
      </c>
    </row>
    <row r="14" spans="1:14" s="14" customFormat="1" ht="15">
      <c r="B14" s="15"/>
      <c r="C14" s="16" t="s">
        <v>42</v>
      </c>
      <c r="D14" s="33" t="s">
        <v>43</v>
      </c>
      <c r="E14" s="33"/>
      <c r="F14" s="33"/>
      <c r="G14" s="33"/>
      <c r="H14" s="33"/>
      <c r="I14" s="33"/>
      <c r="J14" s="33"/>
      <c r="K14" s="33"/>
      <c r="L14" s="33"/>
      <c r="M14" s="33"/>
      <c r="N14" s="33"/>
    </row>
    <row r="15" spans="1:14" s="17" customFormat="1" ht="12.75">
      <c r="B15" s="18"/>
      <c r="C15" s="19" t="s">
        <v>44</v>
      </c>
      <c r="D15" s="34" t="s">
        <v>45</v>
      </c>
      <c r="E15" s="34"/>
      <c r="F15" s="34"/>
      <c r="G15" s="34"/>
      <c r="H15" s="34"/>
      <c r="I15" s="34"/>
      <c r="J15" s="34"/>
      <c r="K15" s="34"/>
      <c r="L15" s="34"/>
      <c r="M15" s="34"/>
      <c r="N15" s="34"/>
    </row>
    <row r="16" spans="1:14" ht="38.25">
      <c r="B16" s="20">
        <v>5</v>
      </c>
      <c r="C16" s="21" t="s">
        <v>46</v>
      </c>
      <c r="D16" s="22" t="s">
        <v>47</v>
      </c>
      <c r="E16" s="22" t="s">
        <v>26</v>
      </c>
      <c r="F16" s="23">
        <v>2.5000000000000001E-2</v>
      </c>
      <c r="G16" s="24">
        <v>1</v>
      </c>
      <c r="H16" s="25">
        <f>F16 * G16 * 17224.0464</f>
        <v>430.60115999999999</v>
      </c>
      <c r="I16" s="25">
        <f>F16 * G16 * 24953.902404</f>
        <v>623.84756010000001</v>
      </c>
      <c r="J16" s="25">
        <f>F16 * G16 * 0</f>
        <v>0</v>
      </c>
      <c r="K16" s="25">
        <f>F16 * G16 * 16397.292173</f>
        <v>409.93230432500008</v>
      </c>
      <c r="L16" s="25">
        <f>F16 * G16 * 6543.115302</f>
        <v>163.57788255000003</v>
      </c>
      <c r="M16" s="25">
        <f>F16 * G16 * 3444.80928</f>
        <v>86.120232000000001</v>
      </c>
      <c r="N16" s="26">
        <f>SUM(H16:M16)</f>
        <v>1714.079138975</v>
      </c>
    </row>
    <row r="17" spans="2:14" ht="25.5">
      <c r="B17" s="20">
        <v>6</v>
      </c>
      <c r="C17" s="21" t="s">
        <v>48</v>
      </c>
      <c r="D17" s="22" t="s">
        <v>49</v>
      </c>
      <c r="E17" s="22" t="s">
        <v>50</v>
      </c>
      <c r="F17" s="23">
        <v>0.42</v>
      </c>
      <c r="G17" s="24">
        <v>1</v>
      </c>
      <c r="H17" s="25">
        <f>F17 * G17 * 2443.6344</f>
        <v>1026.326448</v>
      </c>
      <c r="I17" s="25">
        <f>F17 * G17 * 600.324723</f>
        <v>252.13638365999998</v>
      </c>
      <c r="J17" s="25">
        <f>F17 * G17 * 0</f>
        <v>0</v>
      </c>
      <c r="K17" s="25">
        <f>F17 * G17 * 2326.339949</f>
        <v>977.06277857999999</v>
      </c>
      <c r="L17" s="25">
        <f>F17 * G17 * 618.127237999999</f>
        <v>259.6134399599996</v>
      </c>
      <c r="M17" s="25">
        <f>F17 * G17 * 488.72688</f>
        <v>205.26528959999999</v>
      </c>
      <c r="N17" s="26">
        <f>SUM(H17:M17)</f>
        <v>2720.4043397999994</v>
      </c>
    </row>
    <row r="18" spans="2:14" s="14" customFormat="1" ht="15">
      <c r="B18" s="15"/>
      <c r="C18" s="16" t="s">
        <v>51</v>
      </c>
      <c r="D18" s="33" t="s">
        <v>52</v>
      </c>
      <c r="E18" s="33"/>
      <c r="F18" s="33"/>
      <c r="G18" s="33"/>
      <c r="H18" s="33"/>
      <c r="I18" s="33"/>
      <c r="J18" s="33"/>
      <c r="K18" s="33"/>
      <c r="L18" s="33"/>
      <c r="M18" s="33"/>
      <c r="N18" s="33"/>
    </row>
    <row r="19" spans="2:14" s="17" customFormat="1" ht="12.75">
      <c r="B19" s="18"/>
      <c r="C19" s="19" t="s">
        <v>53</v>
      </c>
      <c r="D19" s="34" t="s">
        <v>54</v>
      </c>
      <c r="E19" s="34"/>
      <c r="F19" s="34"/>
      <c r="G19" s="34"/>
      <c r="H19" s="34"/>
      <c r="I19" s="34"/>
      <c r="J19" s="34"/>
      <c r="K19" s="34"/>
      <c r="L19" s="34"/>
      <c r="M19" s="34"/>
      <c r="N19" s="34"/>
    </row>
    <row r="20" spans="2:14">
      <c r="B20" s="20">
        <v>7</v>
      </c>
      <c r="C20" s="21" t="s">
        <v>55</v>
      </c>
      <c r="D20" s="22" t="s">
        <v>56</v>
      </c>
      <c r="E20" s="22" t="s">
        <v>57</v>
      </c>
      <c r="F20" s="23">
        <v>1</v>
      </c>
      <c r="G20" s="24">
        <v>1</v>
      </c>
      <c r="H20" s="25">
        <f>F20 * G20 * 967.776</f>
        <v>967.77599999999995</v>
      </c>
      <c r="I20" s="25">
        <f>F20 * G20 * 0</f>
        <v>0</v>
      </c>
      <c r="J20" s="25">
        <f>F20 * G20 * 0</f>
        <v>0</v>
      </c>
      <c r="K20" s="25">
        <f>F20 * G20 * 921.322752</f>
        <v>921.32275200000004</v>
      </c>
      <c r="L20" s="25">
        <f>F20 * G20 * 219.719992</f>
        <v>219.71999199999999</v>
      </c>
      <c r="M20" s="25">
        <f>F20 * G20 * 193.5552</f>
        <v>193.55520000000001</v>
      </c>
      <c r="N20" s="26">
        <f>SUM(H20:M20)</f>
        <v>2302.3739439999999</v>
      </c>
    </row>
    <row r="21" spans="2:14" s="17" customFormat="1" ht="12.75">
      <c r="B21" s="18"/>
      <c r="C21" s="19" t="s">
        <v>58</v>
      </c>
      <c r="D21" s="35" t="s">
        <v>59</v>
      </c>
      <c r="E21" s="35"/>
      <c r="F21" s="35"/>
      <c r="G21" s="35"/>
      <c r="H21" s="35"/>
      <c r="I21" s="35"/>
      <c r="J21" s="35"/>
      <c r="K21" s="35"/>
      <c r="L21" s="35"/>
      <c r="M21" s="35"/>
      <c r="N21" s="35"/>
    </row>
    <row r="22" spans="2:14" ht="25.5">
      <c r="B22" s="20">
        <v>8</v>
      </c>
      <c r="C22" s="21" t="s">
        <v>60</v>
      </c>
      <c r="D22" s="22" t="s">
        <v>61</v>
      </c>
      <c r="E22" s="22" t="s">
        <v>62</v>
      </c>
      <c r="F22" s="23">
        <v>9.6</v>
      </c>
      <c r="G22" s="24">
        <v>1</v>
      </c>
      <c r="H22" s="25">
        <f>F22 * G22 * 950.793</f>
        <v>9127.612799999999</v>
      </c>
      <c r="I22" s="25">
        <f>F22 * G22 * 7.170829</f>
        <v>68.8399584</v>
      </c>
      <c r="J22" s="25">
        <f>F22 * G22 * 0</f>
        <v>0</v>
      </c>
      <c r="K22" s="25">
        <f>F22 * G22 * 905.154935999999</f>
        <v>8689.4873855999904</v>
      </c>
      <c r="L22" s="25">
        <f>F22 * G22 * 216.620762</f>
        <v>2079.5593152000001</v>
      </c>
      <c r="M22" s="25">
        <f>F22 * G22 * 190.1586</f>
        <v>1825.5225600000001</v>
      </c>
      <c r="N22" s="26">
        <f>SUM(H22:M22)</f>
        <v>21791.022019199991</v>
      </c>
    </row>
    <row r="23" spans="2:14" ht="25.5">
      <c r="B23" s="20">
        <v>9</v>
      </c>
      <c r="C23" s="21" t="s">
        <v>63</v>
      </c>
      <c r="D23" s="22" t="s">
        <v>64</v>
      </c>
      <c r="E23" s="22" t="s">
        <v>62</v>
      </c>
      <c r="F23" s="23">
        <v>9.6</v>
      </c>
      <c r="G23" s="24">
        <v>1</v>
      </c>
      <c r="H23" s="25">
        <f>F23 * G23 * 400.009997</f>
        <v>3840.0959711999999</v>
      </c>
      <c r="I23" s="25">
        <f>F23 * G23 * 0</f>
        <v>0</v>
      </c>
      <c r="J23" s="25">
        <f>F23 * G23 * 68.046825</f>
        <v>653.24951999999996</v>
      </c>
      <c r="K23" s="25">
        <f>F23 * G23 * 380.809517</f>
        <v>3655.7713632</v>
      </c>
      <c r="L23" s="25">
        <f>F23 * G23 * 97.99561</f>
        <v>940.75785599999995</v>
      </c>
      <c r="M23" s="25">
        <f>F23 * G23 * 80.001999</f>
        <v>768.01919039999996</v>
      </c>
      <c r="N23" s="26">
        <f>SUM(H23:M23)</f>
        <v>9857.8939007999998</v>
      </c>
    </row>
    <row r="24" spans="2:14" s="17" customFormat="1" ht="12.75">
      <c r="B24" s="18"/>
      <c r="C24" s="19" t="s">
        <v>65</v>
      </c>
      <c r="D24" s="35" t="s">
        <v>66</v>
      </c>
      <c r="E24" s="35"/>
      <c r="F24" s="35"/>
      <c r="G24" s="35"/>
      <c r="H24" s="35"/>
      <c r="I24" s="35"/>
      <c r="J24" s="35"/>
      <c r="K24" s="35"/>
      <c r="L24" s="35"/>
      <c r="M24" s="35"/>
      <c r="N24" s="35"/>
    </row>
    <row r="25" spans="2:14" ht="25.5">
      <c r="B25" s="20">
        <v>10</v>
      </c>
      <c r="C25" s="21" t="s">
        <v>67</v>
      </c>
      <c r="D25" s="22" t="s">
        <v>68</v>
      </c>
      <c r="E25" s="22" t="s">
        <v>69</v>
      </c>
      <c r="F25" s="23">
        <v>28.8</v>
      </c>
      <c r="G25" s="24">
        <v>1</v>
      </c>
      <c r="H25" s="25">
        <f>F25 * G25 * 223.97976</f>
        <v>6450.617088</v>
      </c>
      <c r="I25" s="25">
        <f>F25 * G25 * 0</f>
        <v>0</v>
      </c>
      <c r="J25" s="25">
        <f>F25 * G25 * 0</f>
        <v>0</v>
      </c>
      <c r="K25" s="25">
        <f>F25 * G25 * 213.228732</f>
        <v>6140.9874816000001</v>
      </c>
      <c r="L25" s="25">
        <f>F25 * G25 * 50.8514689999999</f>
        <v>1464.5223071999972</v>
      </c>
      <c r="M25" s="25">
        <f>F25 * G25 * 44.795952</f>
        <v>1290.1234176</v>
      </c>
      <c r="N25" s="26">
        <f>SUM(H25:M25)</f>
        <v>15346.250294399997</v>
      </c>
    </row>
    <row r="26" spans="2:14" s="17" customFormat="1" ht="12.75">
      <c r="B26" s="18"/>
      <c r="C26" s="19" t="s">
        <v>70</v>
      </c>
      <c r="D26" s="35" t="s">
        <v>71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</row>
    <row r="27" spans="2:14" s="17" customFormat="1" ht="12.75">
      <c r="B27" s="18"/>
      <c r="C27" s="19" t="s">
        <v>72</v>
      </c>
      <c r="D27" s="36" t="s">
        <v>73</v>
      </c>
      <c r="E27" s="36"/>
      <c r="F27" s="36"/>
      <c r="G27" s="36"/>
      <c r="H27" s="36"/>
      <c r="I27" s="36"/>
      <c r="J27" s="36"/>
      <c r="K27" s="36"/>
      <c r="L27" s="36"/>
      <c r="M27" s="36"/>
      <c r="N27" s="36"/>
    </row>
    <row r="28" spans="2:14" ht="25.5">
      <c r="B28" s="20">
        <v>11</v>
      </c>
      <c r="C28" s="21" t="s">
        <v>74</v>
      </c>
      <c r="D28" s="22" t="s">
        <v>75</v>
      </c>
      <c r="E28" s="22" t="s">
        <v>76</v>
      </c>
      <c r="F28" s="23">
        <v>0.09</v>
      </c>
      <c r="G28" s="24">
        <v>1</v>
      </c>
      <c r="H28" s="25">
        <f>F28 * G28 * 13548.864</f>
        <v>1219.3977599999998</v>
      </c>
      <c r="I28" s="25">
        <f>F28 * G28 * 0</f>
        <v>0</v>
      </c>
      <c r="J28" s="25">
        <f>F28 * G28 * 0</f>
        <v>0</v>
      </c>
      <c r="K28" s="25">
        <f>F28 * G28 * 12898.518528</f>
        <v>1160.86666752</v>
      </c>
      <c r="L28" s="25">
        <f>F28 * G28 * 3076.079887</f>
        <v>276.84718982999999</v>
      </c>
      <c r="M28" s="25">
        <f>F28 * G28 * 2709.7728</f>
        <v>243.87955200000002</v>
      </c>
      <c r="N28" s="26">
        <f>SUM(H28:M28)</f>
        <v>2900.9911693499998</v>
      </c>
    </row>
    <row r="29" spans="2:14" s="27" customFormat="1" ht="20.100000000000001" customHeight="1">
      <c r="B29" s="37" t="s">
        <v>77</v>
      </c>
      <c r="C29" s="37"/>
      <c r="D29" s="37"/>
      <c r="E29" s="37"/>
      <c r="F29" s="37"/>
      <c r="G29" s="37"/>
      <c r="H29" s="28">
        <f t="shared" ref="H29:N29" si="0">SUM(H4:H28)</f>
        <v>25004.003398199999</v>
      </c>
      <c r="I29" s="28">
        <f t="shared" si="0"/>
        <v>3898.5987333899998</v>
      </c>
      <c r="J29" s="28">
        <f t="shared" si="0"/>
        <v>653.24951999999996</v>
      </c>
      <c r="K29" s="28">
        <f t="shared" si="0"/>
        <v>23803.811246284989</v>
      </c>
      <c r="L29" s="28">
        <f t="shared" si="0"/>
        <v>6157.0289138149974</v>
      </c>
      <c r="M29" s="28">
        <f t="shared" si="0"/>
        <v>5000.8006758000001</v>
      </c>
      <c r="N29" s="29">
        <f t="shared" si="0"/>
        <v>64517.492487489988</v>
      </c>
    </row>
  </sheetData>
  <mergeCells count="18">
    <mergeCell ref="D26:N26"/>
    <mergeCell ref="D27:N27"/>
    <mergeCell ref="B29:G29"/>
    <mergeCell ref="D15:N15"/>
    <mergeCell ref="D18:N18"/>
    <mergeCell ref="D19:N19"/>
    <mergeCell ref="D21:N21"/>
    <mergeCell ref="D24:N24"/>
    <mergeCell ref="D6:N6"/>
    <mergeCell ref="D8:N8"/>
    <mergeCell ref="D10:N10"/>
    <mergeCell ref="D12:N12"/>
    <mergeCell ref="D14:N14"/>
    <mergeCell ref="B2:K3"/>
    <mergeCell ref="L2:M2"/>
    <mergeCell ref="L3:M3"/>
    <mergeCell ref="D4:N4"/>
    <mergeCell ref="D5:N5"/>
  </mergeCells>
  <pageMargins left="0.7" right="0.7" top="0.75" bottom="0.75" header="0.3" footer="0.3"/>
  <pageSetup paperSize="9" scale="61" fitToHeight="0" orientation="landscape" horizontalDpi="4294967295" verticalDpi="4294967295" r:id="rId1"/>
  <headerFooter>
    <oddHeader>&amp;C&amp;KCCCCCC&amp;"Arial"Белкина 29</oddHeader>
    <oddFooter>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</vt:lpstr>
      <vt:lpstr>Смета!Заголовки_для_печати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Белкина 29</dc:title>
  <dc:creator/>
  <cp:lastModifiedBy/>
  <cp:lastPrinted>2022-03-21T08:16:07Z</cp:lastPrinted>
  <dcterms:created xsi:type="dcterms:W3CDTF">2022-03-21T08:16:07Z</dcterms:created>
  <dcterms:modified xsi:type="dcterms:W3CDTF">2022-03-21T08:17:33Z</dcterms:modified>
</cp:coreProperties>
</file>